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c\Desktop\"/>
    </mc:Choice>
  </mc:AlternateContent>
  <xr:revisionPtr revIDLastSave="0" documentId="13_ncr:1_{235554F9-1143-447D-9D27-385B5279A20F}" xr6:coauthVersionLast="47" xr6:coauthVersionMax="47" xr10:uidLastSave="{00000000-0000-0000-0000-000000000000}"/>
  <bookViews>
    <workbookView xWindow="-110" yWindow="-110" windowWidth="19420" windowHeight="10420" activeTab="2" xr2:uid="{75B95003-7D77-4013-A047-5B87311707CC}"/>
  </bookViews>
  <sheets>
    <sheet name="Modello costo produzione" sheetId="1" r:id="rId1"/>
    <sheet name="Modello costo di sviluppo" sheetId="2" r:id="rId2"/>
    <sheet name="Tabella dati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2" i="4" l="1"/>
  <c r="AB11" i="4"/>
  <c r="AB10" i="4"/>
  <c r="AB9" i="4"/>
  <c r="AB8" i="4"/>
  <c r="AB7" i="4"/>
  <c r="AB6" i="4"/>
  <c r="T12" i="4"/>
  <c r="T11" i="4"/>
  <c r="T10" i="4"/>
  <c r="T9" i="4"/>
  <c r="T8" i="4"/>
  <c r="T7" i="4"/>
  <c r="T6" i="4"/>
  <c r="O35" i="1"/>
  <c r="O36" i="1"/>
  <c r="M12" i="4" l="1"/>
  <c r="J12" i="4"/>
  <c r="M11" i="4"/>
  <c r="J11" i="4"/>
  <c r="M10" i="4"/>
  <c r="J10" i="4"/>
  <c r="M9" i="4"/>
  <c r="J9" i="4"/>
  <c r="M8" i="4"/>
  <c r="J8" i="4"/>
  <c r="M7" i="4"/>
  <c r="J7" i="4"/>
  <c r="M6" i="4"/>
  <c r="J6" i="4"/>
  <c r="J34" i="2"/>
  <c r="J33" i="2"/>
  <c r="O33" i="1"/>
  <c r="J32" i="2"/>
  <c r="O32" i="1"/>
  <c r="O8" i="1" l="1"/>
  <c r="J17" i="2"/>
  <c r="O30" i="1" l="1"/>
  <c r="O21" i="1"/>
  <c r="O19" i="1"/>
  <c r="O27" i="1"/>
  <c r="O26" i="1"/>
  <c r="O31" i="1"/>
  <c r="L33" i="1"/>
  <c r="L32" i="1"/>
  <c r="L31" i="1"/>
  <c r="L30" i="1"/>
  <c r="L29" i="1"/>
  <c r="L27" i="1"/>
  <c r="L26" i="1"/>
  <c r="L24" i="1"/>
  <c r="L23" i="1"/>
  <c r="L22" i="1"/>
  <c r="L21" i="1"/>
  <c r="L20" i="1"/>
  <c r="L19" i="1"/>
  <c r="L17" i="1"/>
  <c r="L16" i="1"/>
  <c r="L15" i="1"/>
  <c r="L14" i="1"/>
  <c r="L13" i="1"/>
  <c r="L9" i="1"/>
  <c r="L10" i="1"/>
  <c r="L11" i="1"/>
  <c r="L12" i="1"/>
  <c r="L8" i="1"/>
  <c r="O10" i="1"/>
  <c r="O13" i="1"/>
  <c r="N13" i="1"/>
  <c r="I10" i="2"/>
  <c r="I11" i="2" s="1"/>
  <c r="J11" i="2" s="1"/>
  <c r="O14" i="1"/>
  <c r="N8" i="1"/>
  <c r="J10" i="2" l="1"/>
  <c r="I12" i="2"/>
  <c r="J12" i="2" s="1"/>
  <c r="N9" i="1"/>
  <c r="O9" i="1" s="1"/>
  <c r="I13" i="2" l="1"/>
  <c r="J13" i="2" s="1"/>
  <c r="N10" i="1"/>
  <c r="N11" i="1" s="1"/>
  <c r="I14" i="2" l="1"/>
  <c r="J14" i="2" s="1"/>
  <c r="N12" i="1"/>
  <c r="O11" i="1"/>
  <c r="N14" i="1" l="1"/>
  <c r="O12" i="1"/>
  <c r="J15" i="2" l="1"/>
  <c r="N15" i="1"/>
  <c r="I16" i="2" l="1"/>
  <c r="J16" i="2" s="1"/>
  <c r="N16" i="1"/>
  <c r="O15" i="1"/>
  <c r="I17" i="2" l="1"/>
  <c r="J9" i="2" s="1"/>
  <c r="N17" i="1"/>
  <c r="O16" i="1"/>
  <c r="I18" i="2" l="1"/>
  <c r="I19" i="2" s="1"/>
  <c r="J19" i="2" s="1"/>
  <c r="O17" i="1"/>
  <c r="O7" i="1" s="1"/>
  <c r="N18" i="1"/>
  <c r="N19" i="1" s="1"/>
  <c r="I20" i="2" l="1"/>
  <c r="J20" i="2" s="1"/>
  <c r="N20" i="1"/>
  <c r="I21" i="2" l="1"/>
  <c r="J21" i="2" s="1"/>
  <c r="N21" i="1"/>
  <c r="O20" i="1"/>
  <c r="I22" i="2" l="1"/>
  <c r="N22" i="1"/>
  <c r="I23" i="2" l="1"/>
  <c r="O22" i="1"/>
  <c r="O18" i="1" s="1"/>
  <c r="N23" i="1"/>
  <c r="I24" i="2" l="1"/>
  <c r="J24" i="2" s="1"/>
  <c r="J18" i="2" s="1"/>
  <c r="N24" i="1"/>
  <c r="O23" i="1"/>
  <c r="I25" i="2" l="1"/>
  <c r="I26" i="2" s="1"/>
  <c r="J26" i="2" s="1"/>
  <c r="N25" i="1"/>
  <c r="N26" i="1" s="1"/>
  <c r="O24" i="1"/>
  <c r="I27" i="2" l="1"/>
  <c r="J27" i="2" s="1"/>
  <c r="N27" i="1"/>
  <c r="I28" i="2" l="1"/>
  <c r="I29" i="2" s="1"/>
  <c r="J29" i="2" s="1"/>
  <c r="N28" i="1"/>
  <c r="N29" i="1" s="1"/>
  <c r="J28" i="2" l="1"/>
  <c r="J25" i="2" s="1"/>
  <c r="J8" i="2" s="1"/>
  <c r="J7" i="2" s="1"/>
  <c r="I30" i="2"/>
  <c r="O29" i="1"/>
  <c r="O28" i="1" s="1"/>
  <c r="N30" i="1"/>
  <c r="J37" i="2" l="1"/>
  <c r="I31" i="2"/>
  <c r="N31" i="1"/>
  <c r="I32" i="2" l="1"/>
  <c r="N32" i="1"/>
  <c r="I33" i="2" l="1"/>
  <c r="N33" i="1"/>
  <c r="O25" i="1" l="1"/>
  <c r="O6" i="1" s="1"/>
  <c r="O5" i="1" s="1"/>
</calcChain>
</file>

<file path=xl/sharedStrings.xml><?xml version="1.0" encoding="utf-8"?>
<sst xmlns="http://schemas.openxmlformats.org/spreadsheetml/2006/main" count="154" uniqueCount="75">
  <si>
    <t>UAM</t>
  </si>
  <si>
    <t>INTEGRATION</t>
  </si>
  <si>
    <t>STRUCTURE</t>
  </si>
  <si>
    <t>Wing</t>
  </si>
  <si>
    <t>Fuselage</t>
  </si>
  <si>
    <t>V-Tail</t>
  </si>
  <si>
    <t>Nacelles</t>
  </si>
  <si>
    <t>Control Surfaces</t>
  </si>
  <si>
    <t>POWERPLANT</t>
  </si>
  <si>
    <t>E-Motors</t>
  </si>
  <si>
    <t>Cables</t>
  </si>
  <si>
    <t>Battery</t>
  </si>
  <si>
    <t>SUBSYSTEMS</t>
  </si>
  <si>
    <t>AC SYSTEM</t>
  </si>
  <si>
    <t>FLIGHT CONTROL SYSTEM</t>
  </si>
  <si>
    <t>AVIONICS</t>
  </si>
  <si>
    <t>Garmin G3000</t>
  </si>
  <si>
    <t>RDR_84k</t>
  </si>
  <si>
    <t>Mission Computer</t>
  </si>
  <si>
    <t>Flight Control Computer</t>
  </si>
  <si>
    <t>N° per velivolo</t>
  </si>
  <si>
    <t>N di produzione</t>
  </si>
  <si>
    <t>% LEARNING CURVE</t>
  </si>
  <si>
    <t>CEF</t>
  </si>
  <si>
    <t>COSTO $</t>
  </si>
  <si>
    <t>TOTALE COSTO</t>
  </si>
  <si>
    <t>TOTALE PREZZO</t>
  </si>
  <si>
    <t>LANDING GEAR FIXED</t>
  </si>
  <si>
    <t>LANDING GEAR RETRACTABLE</t>
  </si>
  <si>
    <t>SKID</t>
  </si>
  <si>
    <t>Multicopter Arms</t>
  </si>
  <si>
    <t>Multicopter Fuselage</t>
  </si>
  <si>
    <t>Fuel Cell</t>
  </si>
  <si>
    <t>LH2 Tank</t>
  </si>
  <si>
    <t>General Avionics</t>
  </si>
  <si>
    <t>PESO [kg]</t>
  </si>
  <si>
    <t>kW</t>
  </si>
  <si>
    <t>E-Motors Multicopter</t>
  </si>
  <si>
    <t>INPUT</t>
  </si>
  <si>
    <t>SVILUPPO</t>
  </si>
  <si>
    <t>PRODUZIONE</t>
  </si>
  <si>
    <t>Multicopter Structure</t>
  </si>
  <si>
    <t>COSTO TOTALE DI SVILUPPO</t>
  </si>
  <si>
    <t>NOME</t>
  </si>
  <si>
    <t>Volocity</t>
  </si>
  <si>
    <t>Skai</t>
  </si>
  <si>
    <t>FCS Software</t>
  </si>
  <si>
    <t xml:space="preserve"> </t>
  </si>
  <si>
    <t>N° linee di codice</t>
  </si>
  <si>
    <t>MTOW [kg]</t>
  </si>
  <si>
    <t>POSTI A SEDERE</t>
  </si>
  <si>
    <t>TIPOLOGIA</t>
  </si>
  <si>
    <t>UNITA' TOTALI</t>
  </si>
  <si>
    <t>COSTO DICHIARATO [$]</t>
  </si>
  <si>
    <t>COSTO STIMATO [$] (Price)</t>
  </si>
  <si>
    <t>% ERRORE di COSTO</t>
  </si>
  <si>
    <t>COSTO DI SVILUPPO PRICE</t>
  </si>
  <si>
    <t>COSTO DI SVILUPPO MODELLO SCLIFO' SU EXCEL</t>
  </si>
  <si>
    <t>PERCENTUALE ERRORE %</t>
  </si>
  <si>
    <t>MULTICOPTER</t>
  </si>
  <si>
    <t>100'000</t>
  </si>
  <si>
    <t>200'000</t>
  </si>
  <si>
    <t>Joby</t>
  </si>
  <si>
    <t>VECTORED THRUST</t>
  </si>
  <si>
    <t>1,3 Milioni</t>
  </si>
  <si>
    <t>Lilium</t>
  </si>
  <si>
    <t>2,5 Milioni</t>
  </si>
  <si>
    <t>Cora</t>
  </si>
  <si>
    <t>INDIPENDENT THURST</t>
  </si>
  <si>
    <t>1 Milione</t>
  </si>
  <si>
    <t>Archer</t>
  </si>
  <si>
    <t>COMBINED THRUST</t>
  </si>
  <si>
    <t>2 Milioni</t>
  </si>
  <si>
    <t>VX4</t>
  </si>
  <si>
    <t xml:space="preserve">COSTO DI SVILUPPO MODELLO SCLIFO'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</si>
</sst>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[$$-409]* #,##0_ ;_-[$$-409]* \-#,##0\ ;_-[$$-409]* &quot;-&quot;??_ ;_-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1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3" fillId="3" borderId="2" xfId="2" applyBorder="1" applyAlignment="1">
      <alignment horizontal="center"/>
    </xf>
    <xf numFmtId="0" fontId="1" fillId="6" borderId="2" xfId="5" applyBorder="1" applyAlignment="1">
      <alignment horizontal="center"/>
    </xf>
    <xf numFmtId="0" fontId="1" fillId="6" borderId="2" xfId="5" applyBorder="1"/>
    <xf numFmtId="0" fontId="1" fillId="7" borderId="2" xfId="6" applyBorder="1" applyAlignment="1">
      <alignment horizontal="center"/>
    </xf>
    <xf numFmtId="0" fontId="4" fillId="5" borderId="2" xfId="4" applyFont="1" applyBorder="1" applyAlignment="1">
      <alignment horizontal="center"/>
    </xf>
    <xf numFmtId="0" fontId="4" fillId="7" borderId="2" xfId="6" applyFont="1" applyBorder="1" applyAlignment="1">
      <alignment horizontal="center"/>
    </xf>
    <xf numFmtId="0" fontId="4" fillId="6" borderId="2" xfId="5" applyFont="1" applyBorder="1"/>
    <xf numFmtId="0" fontId="1" fillId="8" borderId="2" xfId="7" applyBorder="1"/>
    <xf numFmtId="0" fontId="1" fillId="4" borderId="2" xfId="3" applyBorder="1"/>
    <xf numFmtId="0" fontId="1" fillId="4" borderId="2" xfId="3" applyBorder="1" applyAlignment="1">
      <alignment horizontal="center"/>
    </xf>
    <xf numFmtId="0" fontId="1" fillId="8" borderId="2" xfId="7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1" fillId="2" borderId="2" xfId="1" applyFont="1" applyBorder="1" applyAlignment="1">
      <alignment horizontal="center"/>
    </xf>
    <xf numFmtId="0" fontId="3" fillId="3" borderId="2" xfId="2" applyBorder="1"/>
    <xf numFmtId="0" fontId="4" fillId="0" borderId="2" xfId="0" applyFont="1" applyBorder="1" applyAlignment="1">
      <alignment horizontal="center"/>
    </xf>
    <xf numFmtId="0" fontId="4" fillId="10" borderId="2" xfId="0" applyFont="1" applyFill="1" applyBorder="1" applyAlignment="1">
      <alignment horizontal="center"/>
    </xf>
    <xf numFmtId="0" fontId="6" fillId="0" borderId="0" xfId="0" applyFont="1"/>
    <xf numFmtId="0" fontId="1" fillId="9" borderId="2" xfId="8" applyBorder="1" applyAlignment="1">
      <alignment horizontal="center"/>
    </xf>
    <xf numFmtId="0" fontId="3" fillId="3" borderId="1" xfId="2" applyAlignment="1">
      <alignment horizontal="center"/>
    </xf>
    <xf numFmtId="0" fontId="1" fillId="4" borderId="2" xfId="3" applyBorder="1" applyAlignment="1">
      <alignment horizontal="left"/>
    </xf>
    <xf numFmtId="0" fontId="1" fillId="11" borderId="2" xfId="9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0" fillId="0" borderId="2" xfId="10" applyNumberFormat="1" applyFont="1" applyFill="1" applyBorder="1" applyAlignment="1">
      <alignment horizontal="center"/>
    </xf>
    <xf numFmtId="0" fontId="0" fillId="13" borderId="2" xfId="0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1" fillId="7" borderId="2" xfId="6" applyNumberFormat="1" applyBorder="1" applyAlignment="1">
      <alignment horizontal="center"/>
    </xf>
    <xf numFmtId="165" fontId="1" fillId="6" borderId="2" xfId="5" applyNumberFormat="1" applyBorder="1" applyAlignment="1">
      <alignment horizontal="center"/>
    </xf>
    <xf numFmtId="165" fontId="1" fillId="8" borderId="2" xfId="7" applyNumberFormat="1" applyBorder="1" applyAlignment="1">
      <alignment horizontal="center"/>
    </xf>
    <xf numFmtId="165" fontId="1" fillId="4" borderId="2" xfId="3" applyNumberFormat="1" applyBorder="1" applyAlignment="1">
      <alignment horizontal="center"/>
    </xf>
    <xf numFmtId="165" fontId="6" fillId="2" borderId="2" xfId="1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1" fillId="2" borderId="2" xfId="1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1">
    <cellStyle name="20% - Colore 1" xfId="9" builtinId="30"/>
    <cellStyle name="20% - Colore 5" xfId="7" builtinId="46"/>
    <cellStyle name="40% - Colore 1" xfId="3" builtinId="31"/>
    <cellStyle name="40% - Colore 4" xfId="5" builtinId="43"/>
    <cellStyle name="40% - Colore 6" xfId="8" builtinId="51"/>
    <cellStyle name="60% - Colore 4" xfId="6" builtinId="44"/>
    <cellStyle name="Colore 4" xfId="4" builtinId="41"/>
    <cellStyle name="Input" xfId="2" builtinId="20"/>
    <cellStyle name="Normale" xfId="0" builtinId="0"/>
    <cellStyle name="Percentuale" xfId="10" builtinId="5"/>
    <cellStyle name="Valore valido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5307-4930-4AA6-A8D8-FA7D6C0DB361}">
  <dimension ref="D2:O36"/>
  <sheetViews>
    <sheetView topLeftCell="B1" zoomScale="84" zoomScaleNormal="85" workbookViewId="0">
      <selection activeCell="T19" sqref="T19"/>
    </sheetView>
  </sheetViews>
  <sheetFormatPr defaultRowHeight="14.5" x14ac:dyDescent="0.35"/>
  <cols>
    <col min="5" max="5" width="12.6328125" bestFit="1" customWidth="1"/>
    <col min="6" max="6" width="14.26953125" customWidth="1"/>
    <col min="7" max="7" width="25.6328125" customWidth="1"/>
    <col min="8" max="8" width="21.6328125" bestFit="1" customWidth="1"/>
    <col min="9" max="9" width="13.36328125" bestFit="1" customWidth="1"/>
    <col min="11" max="11" width="7.36328125" customWidth="1"/>
    <col min="12" max="13" width="17.7265625" bestFit="1" customWidth="1"/>
    <col min="14" max="14" width="12.453125" customWidth="1"/>
    <col min="15" max="15" width="14.26953125" customWidth="1"/>
  </cols>
  <sheetData>
    <row r="2" spans="4:15" x14ac:dyDescent="0.35">
      <c r="D2" s="19"/>
      <c r="E2" s="20" t="s">
        <v>38</v>
      </c>
    </row>
    <row r="3" spans="4:15" x14ac:dyDescent="0.35">
      <c r="O3" s="21" t="s">
        <v>40</v>
      </c>
    </row>
    <row r="4" spans="4:15" x14ac:dyDescent="0.35">
      <c r="I4" s="15" t="s">
        <v>20</v>
      </c>
      <c r="J4" s="16" t="s">
        <v>35</v>
      </c>
      <c r="K4" s="15" t="s">
        <v>36</v>
      </c>
      <c r="L4" s="17" t="s">
        <v>21</v>
      </c>
      <c r="M4" s="15" t="s">
        <v>22</v>
      </c>
      <c r="N4" s="16" t="s">
        <v>23</v>
      </c>
      <c r="O4" s="21" t="s">
        <v>24</v>
      </c>
    </row>
    <row r="5" spans="4:15" x14ac:dyDescent="0.35">
      <c r="D5" s="8" t="s">
        <v>0</v>
      </c>
      <c r="E5" s="2"/>
      <c r="F5" s="2"/>
      <c r="G5" s="2"/>
      <c r="H5" s="2"/>
      <c r="I5" s="2"/>
      <c r="J5" s="2"/>
      <c r="K5" s="2"/>
      <c r="L5" s="24">
        <v>18650</v>
      </c>
      <c r="M5" s="2"/>
      <c r="N5" s="4">
        <v>1</v>
      </c>
      <c r="O5" s="34">
        <f>O6*1.1</f>
        <v>1554197.8955218596</v>
      </c>
    </row>
    <row r="6" spans="4:15" x14ac:dyDescent="0.35">
      <c r="D6" s="1"/>
      <c r="E6" s="9" t="s">
        <v>1</v>
      </c>
      <c r="F6" s="7"/>
      <c r="G6" s="7"/>
      <c r="H6" s="7"/>
      <c r="I6" s="7"/>
      <c r="J6" s="7"/>
      <c r="K6" s="7"/>
      <c r="L6" s="7"/>
      <c r="M6" s="7"/>
      <c r="N6" s="7"/>
      <c r="O6" s="35">
        <f>(O7+O18+O25)*1.05</f>
        <v>1412907.1777471451</v>
      </c>
    </row>
    <row r="7" spans="4:15" x14ac:dyDescent="0.35">
      <c r="F7" s="10" t="s">
        <v>2</v>
      </c>
      <c r="G7" s="6"/>
      <c r="H7" s="6"/>
      <c r="I7" s="5"/>
      <c r="J7" s="5"/>
      <c r="K7" s="5"/>
      <c r="L7" s="5"/>
      <c r="M7" s="5"/>
      <c r="N7" s="5"/>
      <c r="O7" s="36">
        <f>(O8+O9+O10+O11+O12+O13+O14+O15+O16+O17)*1.1</f>
        <v>717730.18900000013</v>
      </c>
    </row>
    <row r="8" spans="4:15" x14ac:dyDescent="0.35">
      <c r="F8" s="3"/>
      <c r="G8" s="11" t="s">
        <v>3</v>
      </c>
      <c r="H8" s="11"/>
      <c r="I8" s="14">
        <v>1</v>
      </c>
      <c r="J8" s="4">
        <v>318</v>
      </c>
      <c r="K8" s="14"/>
      <c r="L8" s="4">
        <f>L5</f>
        <v>18650</v>
      </c>
      <c r="M8" s="4">
        <v>0.83</v>
      </c>
      <c r="N8" s="14">
        <f>N5</f>
        <v>1</v>
      </c>
      <c r="O8" s="37">
        <f>IF(J8&gt;0, (1297.8*J8-42040)*18650^-(LN(M8)/LN(2))*L8^(LN(M8)/LN(2))*N8, "0")</f>
        <v>370660.4</v>
      </c>
    </row>
    <row r="9" spans="4:15" x14ac:dyDescent="0.35">
      <c r="F9" s="3"/>
      <c r="G9" s="11" t="s">
        <v>4</v>
      </c>
      <c r="H9" s="11"/>
      <c r="I9" s="14">
        <v>1</v>
      </c>
      <c r="J9" s="4">
        <v>385</v>
      </c>
      <c r="K9" s="14"/>
      <c r="L9" s="4">
        <f>L5</f>
        <v>18650</v>
      </c>
      <c r="M9" s="4">
        <v>0.83</v>
      </c>
      <c r="N9" s="14">
        <f t="shared" ref="N9:N33" si="0">N8</f>
        <v>1</v>
      </c>
      <c r="O9" s="37">
        <f>IF(J9&gt;0, (271.36*J9-1431.3)*18650^-(LN(M9)/LN(2))*L9^(LN(M9)/LN(2))*N9, "0")</f>
        <v>103042.30000000002</v>
      </c>
    </row>
    <row r="10" spans="4:15" x14ac:dyDescent="0.35">
      <c r="F10" s="3"/>
      <c r="G10" s="11" t="s">
        <v>5</v>
      </c>
      <c r="H10" s="11"/>
      <c r="I10" s="14">
        <v>1</v>
      </c>
      <c r="J10" s="4">
        <v>50</v>
      </c>
      <c r="K10" s="14"/>
      <c r="L10" s="4">
        <f>L5</f>
        <v>18650</v>
      </c>
      <c r="M10" s="4">
        <v>0.83</v>
      </c>
      <c r="N10" s="14">
        <f t="shared" si="0"/>
        <v>1</v>
      </c>
      <c r="O10" s="37">
        <f>IF(J10&gt;0, (45.709*J10+21912)*18650^-(LN(M10)/LN(2))*L10^(LN(M10)/LN(2))*N10, "0")</f>
        <v>24197.45</v>
      </c>
    </row>
    <row r="11" spans="4:15" x14ac:dyDescent="0.35">
      <c r="F11" s="3"/>
      <c r="G11" s="11" t="s">
        <v>6</v>
      </c>
      <c r="H11" s="11"/>
      <c r="I11" s="4">
        <v>6</v>
      </c>
      <c r="J11" s="4">
        <v>10</v>
      </c>
      <c r="K11" s="14"/>
      <c r="L11" s="4">
        <f>L5</f>
        <v>18650</v>
      </c>
      <c r="M11" s="4">
        <v>0.83</v>
      </c>
      <c r="N11" s="14">
        <f t="shared" si="0"/>
        <v>1</v>
      </c>
      <c r="O11" s="37">
        <f>IF(J11&gt;0, (222.25*J11+2745.5)*18650^-(LN(M11)/LN(2))*L11^(LN(M11)/LN(2))*I11*N11, "0")</f>
        <v>29808</v>
      </c>
    </row>
    <row r="12" spans="4:15" x14ac:dyDescent="0.35">
      <c r="F12" s="3"/>
      <c r="G12" s="11" t="s">
        <v>7</v>
      </c>
      <c r="H12" s="11"/>
      <c r="I12" s="14">
        <v>1</v>
      </c>
      <c r="J12" s="4">
        <v>100</v>
      </c>
      <c r="K12" s="14"/>
      <c r="L12" s="4">
        <f>L5</f>
        <v>18650</v>
      </c>
      <c r="M12" s="4">
        <v>0.83</v>
      </c>
      <c r="N12" s="14">
        <f t="shared" si="0"/>
        <v>1</v>
      </c>
      <c r="O12" s="37">
        <f>IF(J12&gt;0, (554.9*J12+1517.7)*18650^-(LN(M12)/LN(2))*L12^(LN(M12)/LN(2))*N12, "0")</f>
        <v>57007.700000000004</v>
      </c>
    </row>
    <row r="13" spans="4:15" x14ac:dyDescent="0.35">
      <c r="F13" s="3"/>
      <c r="G13" s="11" t="s">
        <v>31</v>
      </c>
      <c r="H13" s="11"/>
      <c r="I13" s="14">
        <v>1</v>
      </c>
      <c r="J13" s="4">
        <v>0</v>
      </c>
      <c r="K13" s="14"/>
      <c r="L13" s="4">
        <f>L5</f>
        <v>18650</v>
      </c>
      <c r="M13" s="4">
        <v>0.83</v>
      </c>
      <c r="N13" s="14">
        <f>N12</f>
        <v>1</v>
      </c>
      <c r="O13" s="37" t="str">
        <f>IF(J13&gt;0, (211.93*J13+4501.3)*18650^-(LN(M13)/LN(2))*L13^(LN(M13)/LN(2))*N13, "0")</f>
        <v>0</v>
      </c>
    </row>
    <row r="14" spans="4:15" x14ac:dyDescent="0.35">
      <c r="F14" s="3"/>
      <c r="G14" s="11" t="s">
        <v>30</v>
      </c>
      <c r="H14" s="11"/>
      <c r="I14" s="4">
        <v>1</v>
      </c>
      <c r="J14" s="4">
        <v>0</v>
      </c>
      <c r="K14" s="14"/>
      <c r="L14" s="4">
        <f>L5</f>
        <v>18650</v>
      </c>
      <c r="M14" s="4">
        <v>0.83</v>
      </c>
      <c r="N14" s="14">
        <f>N13</f>
        <v>1</v>
      </c>
      <c r="O14" s="37" t="str">
        <f>IF(J14&gt;0, (51.871*J14+18723)*18650^-(LN(M14)/LN(2))*L14^(LN(M14)/LN(2))*I14*N14, "0")</f>
        <v>0</v>
      </c>
    </row>
    <row r="15" spans="4:15" x14ac:dyDescent="0.35">
      <c r="F15" s="3"/>
      <c r="G15" s="11" t="s">
        <v>27</v>
      </c>
      <c r="H15" s="11"/>
      <c r="I15" s="14">
        <v>1</v>
      </c>
      <c r="J15" s="4">
        <v>159</v>
      </c>
      <c r="K15" s="14"/>
      <c r="L15" s="4">
        <f>L5</f>
        <v>18650</v>
      </c>
      <c r="M15" s="4">
        <v>0.83</v>
      </c>
      <c r="N15" s="14">
        <f t="shared" si="0"/>
        <v>1</v>
      </c>
      <c r="O15" s="37">
        <f>IF(J15&gt;0, (354.46*J15+11407)*18650^-(LN(M15)/(LN(2)))*L15^(LN(M15)/LN(2))*N15, "0")</f>
        <v>67766.140000000014</v>
      </c>
    </row>
    <row r="16" spans="4:15" x14ac:dyDescent="0.35">
      <c r="F16" s="3"/>
      <c r="G16" s="11" t="s">
        <v>28</v>
      </c>
      <c r="H16" s="11"/>
      <c r="I16" s="14">
        <v>1</v>
      </c>
      <c r="J16" s="4">
        <v>0</v>
      </c>
      <c r="K16" s="14"/>
      <c r="L16" s="4">
        <f>L5</f>
        <v>18650</v>
      </c>
      <c r="M16" s="4">
        <v>0.83</v>
      </c>
      <c r="N16" s="14">
        <f t="shared" si="0"/>
        <v>1</v>
      </c>
      <c r="O16" s="37" t="str">
        <f xml:space="preserve"> IF(J16&gt;0, (588.67*J16-29299)*18650^-(LOG(M16)/LOG(2))*L16^(LOG(M16)/LOG(2))*N16, "0")</f>
        <v>0</v>
      </c>
    </row>
    <row r="17" spans="6:15" x14ac:dyDescent="0.35">
      <c r="F17" s="3"/>
      <c r="G17" s="11" t="s">
        <v>29</v>
      </c>
      <c r="H17" s="11"/>
      <c r="I17" s="14">
        <v>1</v>
      </c>
      <c r="J17" s="4">
        <v>0</v>
      </c>
      <c r="K17" s="14"/>
      <c r="L17" s="4">
        <f>L5</f>
        <v>18650</v>
      </c>
      <c r="M17" s="4">
        <v>0.83</v>
      </c>
      <c r="N17" s="14">
        <f t="shared" si="0"/>
        <v>1</v>
      </c>
      <c r="O17" s="37" t="str">
        <f>IF(J17&gt;0, (196.88*J17+11731)*18650^-(LN(M17)/LN(2))*L17^(LN(M17)/LN(2))*N17, "0")</f>
        <v>0</v>
      </c>
    </row>
    <row r="18" spans="6:15" x14ac:dyDescent="0.35">
      <c r="F18" s="10" t="s">
        <v>8</v>
      </c>
      <c r="G18" s="6"/>
      <c r="H18" s="6"/>
      <c r="I18" s="5"/>
      <c r="J18" s="6"/>
      <c r="K18" s="5"/>
      <c r="L18" s="6"/>
      <c r="M18" s="6"/>
      <c r="N18" s="5">
        <f t="shared" si="0"/>
        <v>1</v>
      </c>
      <c r="O18" s="36">
        <f>(O19+O20+O21+O22+O23+O24)*5</f>
        <v>355875.81563566456</v>
      </c>
    </row>
    <row r="19" spans="6:15" x14ac:dyDescent="0.35">
      <c r="F19" s="3"/>
      <c r="G19" s="11" t="s">
        <v>9</v>
      </c>
      <c r="H19" s="11"/>
      <c r="I19" s="4">
        <v>12</v>
      </c>
      <c r="J19" s="4">
        <v>40</v>
      </c>
      <c r="K19" s="14"/>
      <c r="L19" s="4">
        <f>L5</f>
        <v>18650</v>
      </c>
      <c r="M19" s="4">
        <v>0.82</v>
      </c>
      <c r="N19" s="14">
        <f t="shared" si="0"/>
        <v>1</v>
      </c>
      <c r="O19" s="37">
        <f>IF(J19&gt;0, ((96.636*J19+155.97)*18650^-(LN(M19)/LN(2))*L19^(LN(M19)/LN(2)))*I19*N19, "0")</f>
        <v>48256.919999999991</v>
      </c>
    </row>
    <row r="20" spans="6:15" x14ac:dyDescent="0.35">
      <c r="F20" s="3"/>
      <c r="G20" s="11" t="s">
        <v>37</v>
      </c>
      <c r="H20" s="11"/>
      <c r="I20" s="4">
        <v>18</v>
      </c>
      <c r="J20" s="4">
        <v>0</v>
      </c>
      <c r="K20" s="14"/>
      <c r="L20" s="4">
        <f>L5</f>
        <v>18650</v>
      </c>
      <c r="M20" s="4">
        <v>0.83</v>
      </c>
      <c r="N20" s="14">
        <f t="shared" si="0"/>
        <v>1</v>
      </c>
      <c r="O20" s="37" t="str">
        <f>IF(J20&gt;0, (63.261*J20-79.697)*18650^-(LN(M20)/LN(2))*L20^(LN(M20)/LN(2))*I20*N20, "0")</f>
        <v>0</v>
      </c>
    </row>
    <row r="21" spans="6:15" x14ac:dyDescent="0.35">
      <c r="F21" s="3"/>
      <c r="G21" s="11" t="s">
        <v>10</v>
      </c>
      <c r="H21" s="11"/>
      <c r="I21" s="14">
        <v>1</v>
      </c>
      <c r="J21" s="4">
        <v>90</v>
      </c>
      <c r="K21" s="14"/>
      <c r="L21" s="4">
        <f>L5</f>
        <v>18650</v>
      </c>
      <c r="M21" s="4">
        <v>0.83</v>
      </c>
      <c r="N21" s="14">
        <f t="shared" si="0"/>
        <v>1</v>
      </c>
      <c r="O21" s="37">
        <f>IF(J21&gt;0, (1.9444*J21+39)*18650^-(LN(M21)/LN(2))*L21^(LN(M21)/LN(2))*N21, "0")</f>
        <v>213.99600000000001</v>
      </c>
    </row>
    <row r="22" spans="6:15" x14ac:dyDescent="0.35">
      <c r="F22" s="3"/>
      <c r="G22" s="11" t="s">
        <v>11</v>
      </c>
      <c r="H22" s="11"/>
      <c r="I22" s="4">
        <v>9</v>
      </c>
      <c r="J22" s="4">
        <v>120</v>
      </c>
      <c r="K22" s="14"/>
      <c r="L22" s="4">
        <f>L5</f>
        <v>18650</v>
      </c>
      <c r="M22" s="14">
        <v>0.98</v>
      </c>
      <c r="N22" s="14">
        <f t="shared" si="0"/>
        <v>1</v>
      </c>
      <c r="O22" s="37">
        <f>IF(J22&gt;0, 28*J22*L22^(LN(M22)/LN(2))*I22*N22, "0")</f>
        <v>22704.247127132923</v>
      </c>
    </row>
    <row r="23" spans="6:15" x14ac:dyDescent="0.35">
      <c r="F23" s="3"/>
      <c r="G23" s="11" t="s">
        <v>32</v>
      </c>
      <c r="H23" s="11"/>
      <c r="I23" s="4">
        <v>1</v>
      </c>
      <c r="J23" s="14">
        <v>250</v>
      </c>
      <c r="K23" s="4">
        <v>0</v>
      </c>
      <c r="L23" s="4">
        <f>L5</f>
        <v>18650</v>
      </c>
      <c r="M23" s="14">
        <v>0.9</v>
      </c>
      <c r="N23" s="14">
        <f t="shared" si="0"/>
        <v>1</v>
      </c>
      <c r="O23" s="37" t="str">
        <f>IF(K23&gt;0, (42.145*K23+14394)*300000^-(LN(M23)/LN(2))*(I23*L23)^(LN(M23)/LN(2))*N23, "0")</f>
        <v>0</v>
      </c>
    </row>
    <row r="24" spans="6:15" x14ac:dyDescent="0.35">
      <c r="F24" s="3"/>
      <c r="G24" s="11" t="s">
        <v>33</v>
      </c>
      <c r="H24" s="11"/>
      <c r="I24" s="4">
        <v>1</v>
      </c>
      <c r="J24" s="4">
        <v>0</v>
      </c>
      <c r="K24" s="14"/>
      <c r="L24" s="4">
        <f>L5</f>
        <v>18650</v>
      </c>
      <c r="M24" s="4">
        <v>0.82</v>
      </c>
      <c r="N24" s="14">
        <f t="shared" si="0"/>
        <v>1</v>
      </c>
      <c r="O24" s="37" t="str">
        <f>IF(J24&gt;0, (202.75*J24+838)*300000^-(LN(M24)/LN(2))*(I24*L24)^(LN(M24)/LN(2))*N24, "0")</f>
        <v>0</v>
      </c>
    </row>
    <row r="25" spans="6:15" x14ac:dyDescent="0.35">
      <c r="F25" s="10" t="s">
        <v>12</v>
      </c>
      <c r="G25" s="6"/>
      <c r="H25" s="6"/>
      <c r="I25" s="5"/>
      <c r="J25" s="6"/>
      <c r="K25" s="5"/>
      <c r="L25" s="5"/>
      <c r="M25" s="5"/>
      <c r="N25" s="5">
        <f t="shared" si="0"/>
        <v>1</v>
      </c>
      <c r="O25" s="36">
        <f>(O26+O27+O28)*1.1</f>
        <v>272019.87893304491</v>
      </c>
    </row>
    <row r="26" spans="6:15" x14ac:dyDescent="0.35">
      <c r="F26" s="3"/>
      <c r="G26" s="11" t="s">
        <v>13</v>
      </c>
      <c r="H26" s="11"/>
      <c r="I26" s="14">
        <v>1</v>
      </c>
      <c r="J26" s="4">
        <v>30</v>
      </c>
      <c r="K26" s="14"/>
      <c r="L26" s="4">
        <f>L5</f>
        <v>18650</v>
      </c>
      <c r="M26" s="4">
        <v>0.83</v>
      </c>
      <c r="N26" s="14">
        <f t="shared" si="0"/>
        <v>1</v>
      </c>
      <c r="O26" s="37">
        <f>IF(J26&gt;0, (267.7*J26+1990.6)*18650^-(LN(M26)/LN(2))*L26^(LN(M26)/LN(2))*N26, "0")</f>
        <v>10021.6</v>
      </c>
    </row>
    <row r="27" spans="6:15" x14ac:dyDescent="0.35">
      <c r="F27" s="3"/>
      <c r="G27" s="11" t="s">
        <v>14</v>
      </c>
      <c r="H27" s="11"/>
      <c r="I27" s="14">
        <v>1</v>
      </c>
      <c r="J27" s="4">
        <v>92</v>
      </c>
      <c r="K27" s="14"/>
      <c r="L27" s="4">
        <f>L5</f>
        <v>18650</v>
      </c>
      <c r="M27" s="4">
        <v>0.83</v>
      </c>
      <c r="N27" s="14">
        <f t="shared" si="0"/>
        <v>1</v>
      </c>
      <c r="O27" s="37">
        <f>IF(J27&gt;0, ((1966.5*J27+1903.6)*18650^-(LN(M27)/LN(2))*L27^(LN(M27)/LN(2)))*N27, "0")</f>
        <v>182821.60000000003</v>
      </c>
    </row>
    <row r="28" spans="6:15" x14ac:dyDescent="0.35">
      <c r="F28" s="3"/>
      <c r="G28" s="10" t="s">
        <v>15</v>
      </c>
      <c r="H28" s="6"/>
      <c r="I28" s="5"/>
      <c r="J28" s="5"/>
      <c r="K28" s="5"/>
      <c r="L28" s="5"/>
      <c r="M28" s="5"/>
      <c r="N28" s="5">
        <f t="shared" si="0"/>
        <v>1</v>
      </c>
      <c r="O28" s="36">
        <f>(O29+O30+O31+O32+O33)*1.1</f>
        <v>54447.599030040787</v>
      </c>
    </row>
    <row r="29" spans="6:15" x14ac:dyDescent="0.35">
      <c r="F29" s="3"/>
      <c r="G29" s="3"/>
      <c r="H29" s="12" t="s">
        <v>34</v>
      </c>
      <c r="I29" s="13">
        <v>1</v>
      </c>
      <c r="J29" s="4">
        <v>0</v>
      </c>
      <c r="K29" s="13"/>
      <c r="L29" s="4">
        <f>L5</f>
        <v>18650</v>
      </c>
      <c r="M29" s="4">
        <v>0.83</v>
      </c>
      <c r="N29" s="13">
        <f t="shared" si="0"/>
        <v>1</v>
      </c>
      <c r="O29" s="38" t="str">
        <f>IF(J29&gt;0, (1206.6*J29+5269.2)*18650^-(LN(M29)/LN(2))*L29^(LN(M29)/LN(2))*N29, "0")</f>
        <v>0</v>
      </c>
    </row>
    <row r="30" spans="6:15" x14ac:dyDescent="0.35">
      <c r="F30" s="3"/>
      <c r="G30" s="3"/>
      <c r="H30" s="12" t="s">
        <v>16</v>
      </c>
      <c r="I30" s="24">
        <v>0</v>
      </c>
      <c r="J30" s="13"/>
      <c r="K30" s="13"/>
      <c r="L30" s="4">
        <f>L5</f>
        <v>18650</v>
      </c>
      <c r="M30" s="13">
        <v>0.99</v>
      </c>
      <c r="N30" s="13">
        <f t="shared" si="0"/>
        <v>1</v>
      </c>
      <c r="O30" s="38" t="str">
        <f>IF(I30&gt;0, 220000*(L30)^(LN(M30)/LN(2))*N30, "0")</f>
        <v>0</v>
      </c>
    </row>
    <row r="31" spans="6:15" x14ac:dyDescent="0.35">
      <c r="F31" s="3"/>
      <c r="G31" s="3"/>
      <c r="H31" s="12" t="s">
        <v>17</v>
      </c>
      <c r="I31" s="13">
        <v>6</v>
      </c>
      <c r="J31" s="13">
        <v>0.7</v>
      </c>
      <c r="K31" s="13"/>
      <c r="L31" s="4">
        <f>L5</f>
        <v>18650</v>
      </c>
      <c r="M31" s="13">
        <v>0.99</v>
      </c>
      <c r="N31" s="13">
        <f t="shared" si="0"/>
        <v>1</v>
      </c>
      <c r="O31" s="38">
        <f>IF(I31&gt;0, 2100*(L31*I31)^(LN(M31)/LN(2))*N31*I31, "0")</f>
        <v>10645.466102532078</v>
      </c>
    </row>
    <row r="32" spans="6:15" x14ac:dyDescent="0.35">
      <c r="F32" s="3"/>
      <c r="G32" s="3"/>
      <c r="H32" s="12" t="s">
        <v>18</v>
      </c>
      <c r="I32" s="4">
        <v>3</v>
      </c>
      <c r="J32" s="13">
        <v>10</v>
      </c>
      <c r="K32" s="13"/>
      <c r="L32" s="4">
        <f>L5</f>
        <v>18650</v>
      </c>
      <c r="M32" s="13">
        <v>0.83</v>
      </c>
      <c r="N32" s="13">
        <f t="shared" si="0"/>
        <v>1</v>
      </c>
      <c r="O32" s="38">
        <f>IF(I32&gt;0, ((615.9*J32+1241.2)*18650^-(LN(M32)/LN(2))*(I32*L32)^(LN(M32)/LN(2)))*N32*I32, "0")</f>
        <v>16523.670379178198</v>
      </c>
    </row>
    <row r="33" spans="6:15" x14ac:dyDescent="0.35">
      <c r="F33" s="3"/>
      <c r="G33" s="3"/>
      <c r="H33" s="12" t="s">
        <v>19</v>
      </c>
      <c r="I33" s="4">
        <v>3</v>
      </c>
      <c r="J33" s="13">
        <v>5</v>
      </c>
      <c r="K33" s="13"/>
      <c r="L33" s="4">
        <f>L5</f>
        <v>18650</v>
      </c>
      <c r="M33" s="13">
        <v>0.83</v>
      </c>
      <c r="N33" s="13">
        <f t="shared" si="0"/>
        <v>1</v>
      </c>
      <c r="O33" s="38">
        <f>IF(I33&gt;0, ((1699.2*J33+1504)*18650^-(LN(M33)/LN(2))*(I33*L33)^(LN(M33)/LN(2)))*N33*I33, "0")</f>
        <v>22328.6808183268</v>
      </c>
    </row>
    <row r="34" spans="6:15" x14ac:dyDescent="0.35">
      <c r="O34" s="40"/>
    </row>
    <row r="35" spans="6:15" x14ac:dyDescent="0.35">
      <c r="F35" s="5" t="s">
        <v>25</v>
      </c>
      <c r="G35" s="5"/>
      <c r="H35" s="5"/>
      <c r="I35" s="5"/>
      <c r="J35" s="5"/>
      <c r="K35" s="6"/>
      <c r="L35" s="5"/>
      <c r="M35" s="5"/>
      <c r="N35" s="5"/>
      <c r="O35" s="36">
        <f>O5</f>
        <v>1554197.8955218596</v>
      </c>
    </row>
    <row r="36" spans="6:15" x14ac:dyDescent="0.35">
      <c r="F36" s="18" t="s">
        <v>26</v>
      </c>
      <c r="G36" s="18"/>
      <c r="H36" s="18"/>
      <c r="I36" s="18"/>
      <c r="J36" s="18"/>
      <c r="K36" s="18"/>
      <c r="L36" s="18"/>
      <c r="M36" s="18"/>
      <c r="N36" s="18"/>
      <c r="O36" s="41">
        <f>O35*1.15</f>
        <v>1787327.5798501384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7F8BD-3ACC-4F34-9E2C-D597116FF454}">
  <dimension ref="C4:N37"/>
  <sheetViews>
    <sheetView topLeftCell="A2" zoomScale="105" zoomScaleNormal="60" workbookViewId="0">
      <selection activeCell="L8" sqref="L8"/>
    </sheetView>
  </sheetViews>
  <sheetFormatPr defaultRowHeight="14.5" x14ac:dyDescent="0.35"/>
  <cols>
    <col min="4" max="4" width="12.81640625" bestFit="1" customWidth="1"/>
    <col min="5" max="5" width="14.1796875" bestFit="1" customWidth="1"/>
    <col min="6" max="6" width="26" bestFit="1" customWidth="1"/>
    <col min="7" max="7" width="21.6328125" bestFit="1" customWidth="1"/>
    <col min="8" max="8" width="15.7265625" customWidth="1"/>
    <col min="9" max="9" width="10.54296875" customWidth="1"/>
    <col min="10" max="10" width="16.7265625" customWidth="1"/>
    <col min="11" max="11" width="14.54296875" customWidth="1"/>
    <col min="12" max="12" width="17.7265625" bestFit="1" customWidth="1"/>
    <col min="14" max="14" width="13.1796875" customWidth="1"/>
  </cols>
  <sheetData>
    <row r="4" spans="3:14" x14ac:dyDescent="0.35">
      <c r="C4" s="19"/>
      <c r="D4" s="20" t="s">
        <v>38</v>
      </c>
    </row>
    <row r="5" spans="3:14" x14ac:dyDescent="0.35">
      <c r="J5" s="21" t="s">
        <v>39</v>
      </c>
    </row>
    <row r="6" spans="3:14" x14ac:dyDescent="0.35">
      <c r="H6" s="16" t="s">
        <v>35</v>
      </c>
      <c r="I6" s="16" t="s">
        <v>23</v>
      </c>
      <c r="J6" s="21" t="s">
        <v>24</v>
      </c>
    </row>
    <row r="7" spans="3:14" x14ac:dyDescent="0.35">
      <c r="C7" s="8" t="s">
        <v>0</v>
      </c>
      <c r="D7" s="2"/>
      <c r="E7" s="2"/>
      <c r="F7" s="2"/>
      <c r="G7" s="2"/>
      <c r="H7" s="2"/>
      <c r="I7" s="4">
        <v>1</v>
      </c>
      <c r="J7" s="34">
        <f>J8*1.4</f>
        <v>495817510.4146319</v>
      </c>
    </row>
    <row r="8" spans="3:14" x14ac:dyDescent="0.35">
      <c r="C8" s="1"/>
      <c r="D8" s="9" t="s">
        <v>1</v>
      </c>
      <c r="E8" s="7"/>
      <c r="F8" s="7"/>
      <c r="G8" s="7"/>
      <c r="H8" s="7"/>
      <c r="I8" s="7"/>
      <c r="J8" s="35">
        <f>(J9+J18+J25)*1.2</f>
        <v>354155364.58187997</v>
      </c>
    </row>
    <row r="9" spans="3:14" x14ac:dyDescent="0.35">
      <c r="E9" s="10" t="s">
        <v>2</v>
      </c>
      <c r="F9" s="6"/>
      <c r="G9" s="6"/>
      <c r="H9" s="5"/>
      <c r="I9" s="5"/>
      <c r="J9" s="36">
        <f>(J10+J11+J12+J13+J14+J15+J16+J17)*1.45</f>
        <v>105126413.75</v>
      </c>
    </row>
    <row r="10" spans="3:14" x14ac:dyDescent="0.35">
      <c r="E10" s="3"/>
      <c r="F10" s="11" t="s">
        <v>3</v>
      </c>
      <c r="G10" s="11"/>
      <c r="H10" s="4">
        <v>318</v>
      </c>
      <c r="I10" s="14">
        <f>I7</f>
        <v>1</v>
      </c>
      <c r="J10" s="37">
        <f>IF(H10&gt;0, ( 54434*H10+5*10^6)*I10, "0")</f>
        <v>22310012</v>
      </c>
    </row>
    <row r="11" spans="3:14" x14ac:dyDescent="0.35">
      <c r="E11" s="3"/>
      <c r="F11" s="11" t="s">
        <v>4</v>
      </c>
      <c r="G11" s="11"/>
      <c r="H11" s="4">
        <v>385</v>
      </c>
      <c r="I11" s="14">
        <f>I10</f>
        <v>1</v>
      </c>
      <c r="J11" s="37">
        <f>IF(H11&gt;0, ( 50974*H11+6*10^6)*I11, "0")</f>
        <v>25624990</v>
      </c>
    </row>
    <row r="12" spans="3:14" x14ac:dyDescent="0.35">
      <c r="E12" s="3"/>
      <c r="F12" s="11" t="s">
        <v>5</v>
      </c>
      <c r="G12" s="11"/>
      <c r="H12" s="4">
        <v>10</v>
      </c>
      <c r="I12" s="14">
        <f>I11</f>
        <v>1</v>
      </c>
      <c r="J12" s="37">
        <f>IF(H12&gt;0, (31483*H12+860888)*I12, "0")</f>
        <v>1175718</v>
      </c>
    </row>
    <row r="13" spans="3:14" x14ac:dyDescent="0.35">
      <c r="E13" s="3"/>
      <c r="F13" s="11" t="s">
        <v>6</v>
      </c>
      <c r="G13" s="11"/>
      <c r="H13" s="4">
        <v>50</v>
      </c>
      <c r="I13" s="14">
        <f>I12</f>
        <v>1</v>
      </c>
      <c r="J13" s="37">
        <f>IF(H13&gt;0, (156432*H13+739091)*I13, "0")</f>
        <v>8560691</v>
      </c>
    </row>
    <row r="14" spans="3:14" x14ac:dyDescent="0.35">
      <c r="E14" s="3"/>
      <c r="F14" s="11" t="s">
        <v>7</v>
      </c>
      <c r="G14" s="11"/>
      <c r="H14" s="4">
        <v>100</v>
      </c>
      <c r="I14" s="14">
        <f>I13</f>
        <v>1</v>
      </c>
      <c r="J14" s="37">
        <f>IF(H14&gt;0, (37865*H14+1*10^6)*I14, "0")</f>
        <v>4786500</v>
      </c>
    </row>
    <row r="15" spans="3:14" x14ac:dyDescent="0.35">
      <c r="E15" s="3"/>
      <c r="F15" s="11" t="s">
        <v>27</v>
      </c>
      <c r="G15" s="11"/>
      <c r="H15" s="4">
        <v>159</v>
      </c>
      <c r="I15" s="14">
        <v>1</v>
      </c>
      <c r="J15" s="37">
        <f>IF(H15&gt;0, ( 44296*H15+3*10^6)*I15, "0")</f>
        <v>10043064</v>
      </c>
    </row>
    <row r="16" spans="3:14" x14ac:dyDescent="0.35">
      <c r="E16" s="3"/>
      <c r="F16" s="11" t="s">
        <v>28</v>
      </c>
      <c r="G16" s="11"/>
      <c r="H16" s="4">
        <v>0</v>
      </c>
      <c r="I16" s="14">
        <f t="shared" ref="I16:I33" si="0">I15</f>
        <v>1</v>
      </c>
      <c r="J16" s="37" t="str">
        <f xml:space="preserve"> IF(H16&gt;0, (45360*H16+3*10^6)*I16, "0")</f>
        <v>0</v>
      </c>
      <c r="N16" s="22"/>
    </row>
    <row r="17" spans="5:12" x14ac:dyDescent="0.35">
      <c r="E17" s="3"/>
      <c r="F17" s="11" t="s">
        <v>41</v>
      </c>
      <c r="G17" s="11"/>
      <c r="H17" s="4">
        <v>0</v>
      </c>
      <c r="I17" s="14">
        <f t="shared" si="0"/>
        <v>1</v>
      </c>
      <c r="J17" s="37" t="str">
        <f>IF(H17&gt;0, (3186*H17+2*10^7)*I17, "0")</f>
        <v>0</v>
      </c>
    </row>
    <row r="18" spans="5:12" x14ac:dyDescent="0.35">
      <c r="E18" s="10" t="s">
        <v>8</v>
      </c>
      <c r="F18" s="6"/>
      <c r="G18" s="6"/>
      <c r="H18" s="6"/>
      <c r="I18" s="5">
        <f t="shared" si="0"/>
        <v>1</v>
      </c>
      <c r="J18" s="36">
        <f>(J19+J20+J21+J22+J23+J24)*4</f>
        <v>29807940</v>
      </c>
    </row>
    <row r="19" spans="5:12" x14ac:dyDescent="0.35">
      <c r="E19" s="3"/>
      <c r="F19" s="11" t="s">
        <v>9</v>
      </c>
      <c r="G19" s="11"/>
      <c r="H19" s="4">
        <v>40</v>
      </c>
      <c r="I19" s="14">
        <f t="shared" si="0"/>
        <v>1</v>
      </c>
      <c r="J19" s="37">
        <f>IF(H19&gt;0, ( 100936*H19+3*10^6)*I19, "0")</f>
        <v>7037440</v>
      </c>
    </row>
    <row r="20" spans="5:12" x14ac:dyDescent="0.35">
      <c r="E20" s="3"/>
      <c r="F20" s="11" t="s">
        <v>37</v>
      </c>
      <c r="G20" s="11"/>
      <c r="H20" s="4">
        <v>0</v>
      </c>
      <c r="I20" s="14">
        <f t="shared" si="0"/>
        <v>1</v>
      </c>
      <c r="J20" s="37" t="str">
        <f>IF(H20&gt;0, (90100*H20+76670)*I20, "0")</f>
        <v>0</v>
      </c>
    </row>
    <row r="21" spans="5:12" x14ac:dyDescent="0.35">
      <c r="E21" s="3"/>
      <c r="F21" s="11" t="s">
        <v>10</v>
      </c>
      <c r="G21" s="11"/>
      <c r="H21" s="4">
        <v>3.75</v>
      </c>
      <c r="I21" s="14">
        <f t="shared" si="0"/>
        <v>1</v>
      </c>
      <c r="J21" s="37">
        <f>IF(H21&gt;0, (90100*H21+76670)*I21, "0")</f>
        <v>414545</v>
      </c>
    </row>
    <row r="22" spans="5:12" x14ac:dyDescent="0.35">
      <c r="E22" s="3"/>
      <c r="F22" s="11" t="s">
        <v>11</v>
      </c>
      <c r="G22" s="11"/>
      <c r="H22" s="14">
        <v>0</v>
      </c>
      <c r="I22" s="14">
        <f t="shared" si="0"/>
        <v>1</v>
      </c>
      <c r="J22" s="37">
        <v>0</v>
      </c>
    </row>
    <row r="23" spans="5:12" x14ac:dyDescent="0.35">
      <c r="E23" s="3"/>
      <c r="F23" s="11" t="s">
        <v>32</v>
      </c>
      <c r="G23" s="11"/>
      <c r="H23" s="14">
        <v>0</v>
      </c>
      <c r="I23" s="14">
        <f t="shared" si="0"/>
        <v>1</v>
      </c>
      <c r="J23" s="37">
        <v>0</v>
      </c>
    </row>
    <row r="24" spans="5:12" x14ac:dyDescent="0.35">
      <c r="E24" s="3"/>
      <c r="F24" s="11" t="s">
        <v>33</v>
      </c>
      <c r="G24" s="11"/>
      <c r="H24" s="4">
        <v>0</v>
      </c>
      <c r="I24" s="14">
        <f t="shared" si="0"/>
        <v>1</v>
      </c>
      <c r="J24" s="37" t="str">
        <f>IF(H24&gt;0, (112368*H24+1*10^6)*I24, "0")</f>
        <v>0</v>
      </c>
    </row>
    <row r="25" spans="5:12" x14ac:dyDescent="0.35">
      <c r="E25" s="10" t="s">
        <v>12</v>
      </c>
      <c r="F25" s="6"/>
      <c r="G25" s="6"/>
      <c r="H25" s="6"/>
      <c r="I25" s="5">
        <f t="shared" si="0"/>
        <v>1</v>
      </c>
      <c r="J25" s="36">
        <f>(J26+J27+J28)*1.3</f>
        <v>160195116.7349</v>
      </c>
    </row>
    <row r="26" spans="5:12" x14ac:dyDescent="0.35">
      <c r="E26" s="3"/>
      <c r="F26" s="11" t="s">
        <v>13</v>
      </c>
      <c r="G26" s="11"/>
      <c r="H26" s="4">
        <v>30</v>
      </c>
      <c r="I26" s="14">
        <f t="shared" si="0"/>
        <v>1</v>
      </c>
      <c r="J26" s="37">
        <f>IF(H26&gt;0,(1*10^6*H26+1*10^7)*I26, "0")</f>
        <v>40000000</v>
      </c>
    </row>
    <row r="27" spans="5:12" x14ac:dyDescent="0.35">
      <c r="E27" s="3"/>
      <c r="F27" s="11" t="s">
        <v>14</v>
      </c>
      <c r="G27" s="11"/>
      <c r="H27" s="4">
        <v>92</v>
      </c>
      <c r="I27" s="14">
        <f t="shared" si="0"/>
        <v>1</v>
      </c>
      <c r="J27" s="37">
        <f>IF(H27&gt;0, ((356599*H27+5*10^6))*I27, "0")</f>
        <v>37807108</v>
      </c>
    </row>
    <row r="28" spans="5:12" x14ac:dyDescent="0.35">
      <c r="E28" s="3"/>
      <c r="F28" s="10" t="s">
        <v>15</v>
      </c>
      <c r="G28" s="6"/>
      <c r="H28" s="5"/>
      <c r="I28" s="5">
        <f t="shared" si="0"/>
        <v>1</v>
      </c>
      <c r="J28" s="36">
        <f>(J29+J30+J31+J32+J33+J34)*1.35</f>
        <v>45419904.872999996</v>
      </c>
    </row>
    <row r="29" spans="5:12" x14ac:dyDescent="0.35">
      <c r="E29" s="3"/>
      <c r="F29" s="3"/>
      <c r="G29" s="12" t="s">
        <v>34</v>
      </c>
      <c r="H29" s="4">
        <v>0</v>
      </c>
      <c r="I29" s="13">
        <f t="shared" si="0"/>
        <v>1</v>
      </c>
      <c r="J29" s="38" t="str">
        <f>IF(H29&gt;0, (477936*H29+7*10^6)*I29, "0")</f>
        <v>0</v>
      </c>
    </row>
    <row r="30" spans="5:12" x14ac:dyDescent="0.35">
      <c r="E30" s="3"/>
      <c r="F30" s="3"/>
      <c r="G30" s="12" t="s">
        <v>16</v>
      </c>
      <c r="H30" s="13">
        <v>0</v>
      </c>
      <c r="I30" s="13">
        <f t="shared" si="0"/>
        <v>1</v>
      </c>
      <c r="J30" s="38">
        <v>0</v>
      </c>
      <c r="L30" t="s">
        <v>47</v>
      </c>
    </row>
    <row r="31" spans="5:12" x14ac:dyDescent="0.35">
      <c r="E31" s="3"/>
      <c r="F31" s="3"/>
      <c r="G31" s="12" t="s">
        <v>17</v>
      </c>
      <c r="H31" s="13">
        <v>0.7</v>
      </c>
      <c r="I31" s="13">
        <f t="shared" si="0"/>
        <v>1</v>
      </c>
      <c r="J31" s="38">
        <v>2908209</v>
      </c>
    </row>
    <row r="32" spans="5:12" x14ac:dyDescent="0.35">
      <c r="E32" s="3"/>
      <c r="F32" s="3"/>
      <c r="G32" s="12" t="s">
        <v>18</v>
      </c>
      <c r="H32" s="13">
        <v>10</v>
      </c>
      <c r="I32" s="13">
        <f t="shared" si="0"/>
        <v>1</v>
      </c>
      <c r="J32" s="38">
        <f>(615704*H32+5*10^6)</f>
        <v>11157040</v>
      </c>
    </row>
    <row r="33" spans="5:10" x14ac:dyDescent="0.35">
      <c r="E33" s="3"/>
      <c r="F33" s="3"/>
      <c r="G33" s="12" t="s">
        <v>19</v>
      </c>
      <c r="H33" s="13">
        <v>5</v>
      </c>
      <c r="I33" s="13">
        <f t="shared" si="0"/>
        <v>1</v>
      </c>
      <c r="J33" s="38">
        <f>IF(H33&gt;0, (2*10^6*H33+5*10^6), 0)</f>
        <v>15000000</v>
      </c>
    </row>
    <row r="34" spans="5:10" x14ac:dyDescent="0.35">
      <c r="E34" s="3"/>
      <c r="F34" s="3"/>
      <c r="G34" s="25" t="s">
        <v>46</v>
      </c>
      <c r="H34" s="13">
        <v>47460</v>
      </c>
      <c r="I34" s="13">
        <v>1</v>
      </c>
      <c r="J34" s="38">
        <f>84.713*H34+558646</f>
        <v>4579124.9799999995</v>
      </c>
    </row>
    <row r="35" spans="5:10" x14ac:dyDescent="0.35">
      <c r="H35" s="26" t="s">
        <v>48</v>
      </c>
      <c r="J35" s="40"/>
    </row>
    <row r="36" spans="5:10" x14ac:dyDescent="0.35">
      <c r="J36" s="40"/>
    </row>
    <row r="37" spans="5:10" x14ac:dyDescent="0.35">
      <c r="F37" s="23" t="s">
        <v>42</v>
      </c>
      <c r="G37" s="3"/>
      <c r="H37" s="3"/>
      <c r="I37" s="3"/>
      <c r="J37" s="39">
        <f>J7</f>
        <v>495817510.4146319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637F7-C276-4DB1-921E-D58B1DB86CAC}">
  <dimension ref="C5:AB12"/>
  <sheetViews>
    <sheetView tabSelected="1" zoomScale="54" zoomScaleNormal="160" workbookViewId="0">
      <selection activeCell="W11" sqref="W11"/>
    </sheetView>
  </sheetViews>
  <sheetFormatPr defaultRowHeight="14.5" x14ac:dyDescent="0.35"/>
  <cols>
    <col min="4" max="4" width="11.6328125" customWidth="1"/>
    <col min="5" max="5" width="14.6328125" customWidth="1"/>
    <col min="6" max="6" width="22.453125" customWidth="1"/>
    <col min="7" max="7" width="13.54296875" customWidth="1"/>
    <col min="8" max="8" width="22.54296875" customWidth="1"/>
    <col min="9" max="9" width="27" customWidth="1"/>
    <col min="10" max="10" width="17.81640625" bestFit="1" customWidth="1"/>
    <col min="11" max="11" width="23.1796875" bestFit="1" customWidth="1"/>
    <col min="12" max="12" width="41.7265625" bestFit="1" customWidth="1"/>
    <col min="13" max="13" width="21.90625" bestFit="1" customWidth="1"/>
    <col min="17" max="17" width="20" bestFit="1" customWidth="1"/>
    <col min="18" max="18" width="20.453125" bestFit="1" customWidth="1"/>
    <col min="19" max="19" width="23.7265625" bestFit="1" customWidth="1"/>
    <col min="20" max="20" width="18.08984375" bestFit="1" customWidth="1"/>
    <col min="23" max="23" width="29.1796875" customWidth="1"/>
    <col min="24" max="24" width="11.453125" customWidth="1"/>
    <col min="25" max="25" width="21.81640625" bestFit="1" customWidth="1"/>
    <col min="26" max="26" width="24.26953125" customWidth="1"/>
    <col min="27" max="27" width="33.6328125" bestFit="1" customWidth="1"/>
    <col min="28" max="28" width="22.1796875" bestFit="1" customWidth="1"/>
  </cols>
  <sheetData>
    <row r="5" spans="3:28" x14ac:dyDescent="0.35">
      <c r="C5" s="27" t="s">
        <v>43</v>
      </c>
      <c r="D5" s="27" t="s">
        <v>49</v>
      </c>
      <c r="E5" s="27" t="s">
        <v>50</v>
      </c>
      <c r="F5" s="27" t="s">
        <v>51</v>
      </c>
      <c r="G5" s="27" t="s">
        <v>52</v>
      </c>
      <c r="H5" s="27" t="s">
        <v>53</v>
      </c>
      <c r="I5" s="27" t="s">
        <v>54</v>
      </c>
      <c r="J5" s="27" t="s">
        <v>55</v>
      </c>
      <c r="K5" s="27" t="s">
        <v>56</v>
      </c>
      <c r="L5" s="27" t="s">
        <v>57</v>
      </c>
      <c r="M5" s="27" t="s">
        <v>58</v>
      </c>
      <c r="P5" s="27" t="s">
        <v>43</v>
      </c>
      <c r="Q5" s="27" t="s">
        <v>51</v>
      </c>
      <c r="R5" s="27" t="s">
        <v>53</v>
      </c>
      <c r="S5" s="27" t="s">
        <v>54</v>
      </c>
      <c r="T5" s="27" t="s">
        <v>55</v>
      </c>
      <c r="V5" s="42"/>
      <c r="X5" s="27" t="s">
        <v>43</v>
      </c>
      <c r="Y5" s="27" t="s">
        <v>51</v>
      </c>
      <c r="Z5" s="27" t="s">
        <v>56</v>
      </c>
      <c r="AA5" s="27" t="s">
        <v>74</v>
      </c>
      <c r="AB5" s="27" t="s">
        <v>58</v>
      </c>
    </row>
    <row r="6" spans="3:28" x14ac:dyDescent="0.35">
      <c r="C6" s="2" t="s">
        <v>45</v>
      </c>
      <c r="D6" s="2">
        <v>1815</v>
      </c>
      <c r="E6" s="2">
        <v>5</v>
      </c>
      <c r="F6" s="28" t="s">
        <v>59</v>
      </c>
      <c r="G6" s="2" t="s">
        <v>60</v>
      </c>
      <c r="H6" s="2" t="s">
        <v>61</v>
      </c>
      <c r="I6" s="2">
        <v>221241</v>
      </c>
      <c r="J6" s="29">
        <f>(I6/200000-1)*100</f>
        <v>10.62050000000001</v>
      </c>
      <c r="K6" s="2">
        <v>200389000</v>
      </c>
      <c r="L6" s="2">
        <v>227350559</v>
      </c>
      <c r="M6" s="30">
        <f t="shared" ref="M6:M12" si="0">(L6/K6-1)*100</f>
        <v>13.454610282999568</v>
      </c>
      <c r="P6" s="2" t="s">
        <v>45</v>
      </c>
      <c r="Q6" s="28" t="s">
        <v>59</v>
      </c>
      <c r="R6" s="2" t="s">
        <v>61</v>
      </c>
      <c r="S6" s="34">
        <v>221241</v>
      </c>
      <c r="T6" s="29">
        <f>(S6/200000-1)*100</f>
        <v>10.62050000000001</v>
      </c>
      <c r="V6" s="42"/>
      <c r="X6" s="2" t="s">
        <v>45</v>
      </c>
      <c r="Y6" s="28" t="s">
        <v>59</v>
      </c>
      <c r="Z6" s="34">
        <v>200389000</v>
      </c>
      <c r="AA6" s="34">
        <v>227350559</v>
      </c>
      <c r="AB6" s="30">
        <f t="shared" ref="AB6:AB12" si="1">(AA6/Z6-1)*100</f>
        <v>13.454610282999568</v>
      </c>
    </row>
    <row r="7" spans="3:28" x14ac:dyDescent="0.35">
      <c r="C7" s="2" t="s">
        <v>44</v>
      </c>
      <c r="D7" s="2">
        <v>900</v>
      </c>
      <c r="E7" s="2">
        <v>2</v>
      </c>
      <c r="F7" s="28" t="s">
        <v>59</v>
      </c>
      <c r="G7" s="2">
        <v>18500</v>
      </c>
      <c r="H7" s="2" t="s">
        <v>61</v>
      </c>
      <c r="I7" s="2">
        <v>179610</v>
      </c>
      <c r="J7" s="29">
        <f>(I7/200000-1)*100</f>
        <v>-10.194999999999999</v>
      </c>
      <c r="K7" s="2">
        <v>272470000</v>
      </c>
      <c r="L7" s="2">
        <v>291585427</v>
      </c>
      <c r="M7" s="30">
        <f t="shared" si="0"/>
        <v>7.0156079568392871</v>
      </c>
      <c r="P7" s="2" t="s">
        <v>44</v>
      </c>
      <c r="Q7" s="28" t="s">
        <v>59</v>
      </c>
      <c r="R7" s="2" t="s">
        <v>61</v>
      </c>
      <c r="S7" s="34">
        <v>179610</v>
      </c>
      <c r="T7" s="29">
        <f>(S7/200000-1)*100</f>
        <v>-10.194999999999999</v>
      </c>
      <c r="V7" s="42"/>
      <c r="X7" s="2" t="s">
        <v>44</v>
      </c>
      <c r="Y7" s="28" t="s">
        <v>59</v>
      </c>
      <c r="Z7" s="34">
        <v>272470000</v>
      </c>
      <c r="AA7" s="34">
        <v>291585427</v>
      </c>
      <c r="AB7" s="30">
        <f t="shared" si="1"/>
        <v>7.0156079568392871</v>
      </c>
    </row>
    <row r="8" spans="3:28" x14ac:dyDescent="0.35">
      <c r="C8" s="2" t="s">
        <v>62</v>
      </c>
      <c r="D8" s="2">
        <v>2177</v>
      </c>
      <c r="E8" s="2">
        <v>5</v>
      </c>
      <c r="F8" s="31" t="s">
        <v>63</v>
      </c>
      <c r="G8" s="2">
        <v>9650</v>
      </c>
      <c r="H8" s="2" t="s">
        <v>64</v>
      </c>
      <c r="I8" s="2">
        <v>1261698</v>
      </c>
      <c r="J8" s="29">
        <f>(I8/1300000-1)*100</f>
        <v>-2.9463076923076925</v>
      </c>
      <c r="K8" s="2">
        <v>394780000</v>
      </c>
      <c r="L8" s="2">
        <v>428387557</v>
      </c>
      <c r="M8" s="30">
        <f t="shared" si="0"/>
        <v>8.5129836871168827</v>
      </c>
      <c r="P8" s="2" t="s">
        <v>62</v>
      </c>
      <c r="Q8" s="31" t="s">
        <v>63</v>
      </c>
      <c r="R8" s="2" t="s">
        <v>64</v>
      </c>
      <c r="S8" s="34">
        <v>1261698</v>
      </c>
      <c r="T8" s="29">
        <f>(S8/1300000-1)*100</f>
        <v>-2.9463076923076925</v>
      </c>
      <c r="V8" s="42"/>
      <c r="X8" s="2" t="s">
        <v>62</v>
      </c>
      <c r="Y8" s="31" t="s">
        <v>63</v>
      </c>
      <c r="Z8" s="34">
        <v>394780000</v>
      </c>
      <c r="AA8" s="34">
        <v>428387557</v>
      </c>
      <c r="AB8" s="30">
        <f t="shared" si="1"/>
        <v>8.5129836871168827</v>
      </c>
    </row>
    <row r="9" spans="3:28" x14ac:dyDescent="0.35">
      <c r="C9" s="2" t="s">
        <v>65</v>
      </c>
      <c r="D9" s="2">
        <v>3175</v>
      </c>
      <c r="E9" s="2">
        <v>7</v>
      </c>
      <c r="F9" s="31" t="s">
        <v>63</v>
      </c>
      <c r="G9" s="2">
        <v>18650</v>
      </c>
      <c r="H9" s="2" t="s">
        <v>66</v>
      </c>
      <c r="I9" s="2">
        <v>2550221</v>
      </c>
      <c r="J9" s="29">
        <f>(I9/2500000-1)*100</f>
        <v>2.0088399999999895</v>
      </c>
      <c r="K9" s="2">
        <v>342330000</v>
      </c>
      <c r="L9" s="2">
        <v>367535511</v>
      </c>
      <c r="M9" s="30">
        <f t="shared" si="0"/>
        <v>7.3629278766102813</v>
      </c>
      <c r="P9" s="2" t="s">
        <v>65</v>
      </c>
      <c r="Q9" s="31" t="s">
        <v>63</v>
      </c>
      <c r="R9" s="2" t="s">
        <v>66</v>
      </c>
      <c r="S9" s="34">
        <v>2550221</v>
      </c>
      <c r="T9" s="29">
        <f>(S9/2500000-1)*100</f>
        <v>2.0088399999999895</v>
      </c>
      <c r="V9" s="42"/>
      <c r="X9" s="2" t="s">
        <v>65</v>
      </c>
      <c r="Y9" s="31" t="s">
        <v>63</v>
      </c>
      <c r="Z9" s="34">
        <v>342330000</v>
      </c>
      <c r="AA9" s="34">
        <v>367535511</v>
      </c>
      <c r="AB9" s="30">
        <f t="shared" si="1"/>
        <v>7.3629278766102813</v>
      </c>
    </row>
    <row r="10" spans="3:28" x14ac:dyDescent="0.35">
      <c r="C10" s="2" t="s">
        <v>67</v>
      </c>
      <c r="D10" s="2">
        <v>1224</v>
      </c>
      <c r="E10" s="2">
        <v>2</v>
      </c>
      <c r="F10" s="32" t="s">
        <v>68</v>
      </c>
      <c r="G10" s="2">
        <v>18650</v>
      </c>
      <c r="H10" s="2" t="s">
        <v>69</v>
      </c>
      <c r="I10" s="2">
        <v>1043303</v>
      </c>
      <c r="J10" s="29">
        <f>(I10/1000000-1)*100</f>
        <v>4.3303000000000091</v>
      </c>
      <c r="K10" s="2">
        <v>315440000</v>
      </c>
      <c r="L10" s="2">
        <v>349370602</v>
      </c>
      <c r="M10" s="30">
        <f t="shared" si="0"/>
        <v>10.756594598021806</v>
      </c>
      <c r="P10" s="2" t="s">
        <v>67</v>
      </c>
      <c r="Q10" s="32" t="s">
        <v>68</v>
      </c>
      <c r="R10" s="2" t="s">
        <v>69</v>
      </c>
      <c r="S10" s="34">
        <v>1043303</v>
      </c>
      <c r="T10" s="29">
        <f>(S10/1000000-1)*100</f>
        <v>4.3303000000000091</v>
      </c>
      <c r="V10" s="42"/>
      <c r="X10" s="2" t="s">
        <v>67</v>
      </c>
      <c r="Y10" s="32" t="s">
        <v>68</v>
      </c>
      <c r="Z10" s="34">
        <v>315440000</v>
      </c>
      <c r="AA10" s="34">
        <v>349370602</v>
      </c>
      <c r="AB10" s="30">
        <f t="shared" si="1"/>
        <v>10.756594598021806</v>
      </c>
    </row>
    <row r="11" spans="3:28" x14ac:dyDescent="0.35">
      <c r="C11" s="2" t="s">
        <v>70</v>
      </c>
      <c r="D11" s="2">
        <v>3175</v>
      </c>
      <c r="E11" s="2">
        <v>5</v>
      </c>
      <c r="F11" s="33" t="s">
        <v>71</v>
      </c>
      <c r="G11" s="2">
        <v>18650</v>
      </c>
      <c r="H11" s="2" t="s">
        <v>72</v>
      </c>
      <c r="I11" s="2">
        <v>1929625</v>
      </c>
      <c r="J11" s="29">
        <f>(I11/2000000-1)*100</f>
        <v>-3.5187500000000038</v>
      </c>
      <c r="K11" s="2">
        <v>451080000</v>
      </c>
      <c r="L11" s="2">
        <v>495817510</v>
      </c>
      <c r="M11" s="30">
        <f t="shared" si="0"/>
        <v>9.9178660104637828</v>
      </c>
      <c r="P11" s="2" t="s">
        <v>70</v>
      </c>
      <c r="Q11" s="33" t="s">
        <v>71</v>
      </c>
      <c r="R11" s="2" t="s">
        <v>72</v>
      </c>
      <c r="S11" s="34">
        <v>1929625</v>
      </c>
      <c r="T11" s="29">
        <f>(S11/2000000-1)*100</f>
        <v>-3.5187500000000038</v>
      </c>
      <c r="V11" s="42"/>
      <c r="X11" s="2" t="s">
        <v>70</v>
      </c>
      <c r="Y11" s="33" t="s">
        <v>71</v>
      </c>
      <c r="Z11" s="34">
        <v>451080000</v>
      </c>
      <c r="AA11" s="34">
        <v>495817510</v>
      </c>
      <c r="AB11" s="30">
        <f t="shared" si="1"/>
        <v>9.9178660104637828</v>
      </c>
    </row>
    <row r="12" spans="3:28" x14ac:dyDescent="0.35">
      <c r="C12" s="2" t="s">
        <v>73</v>
      </c>
      <c r="D12" s="2">
        <v>3175</v>
      </c>
      <c r="E12" s="2">
        <v>5</v>
      </c>
      <c r="F12" s="33" t="s">
        <v>71</v>
      </c>
      <c r="G12" s="2">
        <v>18650</v>
      </c>
      <c r="H12" s="2" t="s">
        <v>72</v>
      </c>
      <c r="I12" s="2">
        <v>1846749</v>
      </c>
      <c r="J12" s="29">
        <f>(I12/2000000-1)*100</f>
        <v>-7.6625500000000013</v>
      </c>
      <c r="K12" s="2">
        <v>425530000</v>
      </c>
      <c r="L12" s="2">
        <v>475295203</v>
      </c>
      <c r="M12" s="30">
        <f t="shared" si="0"/>
        <v>11.694875331939002</v>
      </c>
      <c r="P12" s="2" t="s">
        <v>73</v>
      </c>
      <c r="Q12" s="33" t="s">
        <v>71</v>
      </c>
      <c r="R12" s="2" t="s">
        <v>72</v>
      </c>
      <c r="S12" s="34">
        <v>1846749</v>
      </c>
      <c r="T12" s="29">
        <f>(S12/2000000-1)*100</f>
        <v>-7.6625500000000013</v>
      </c>
      <c r="V12" s="42"/>
      <c r="X12" s="2" t="s">
        <v>73</v>
      </c>
      <c r="Y12" s="33" t="s">
        <v>71</v>
      </c>
      <c r="Z12" s="34">
        <v>425530000</v>
      </c>
      <c r="AA12" s="34">
        <v>475295203</v>
      </c>
      <c r="AB12" s="30">
        <f t="shared" si="1"/>
        <v>11.694875331939002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Modello costo produzione</vt:lpstr>
      <vt:lpstr>Modello costo di sviluppo</vt:lpstr>
      <vt:lpstr>Tabella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Sclifò</dc:creator>
  <cp:lastModifiedBy>Francesco Sclifò</cp:lastModifiedBy>
  <dcterms:created xsi:type="dcterms:W3CDTF">2023-07-04T15:42:04Z</dcterms:created>
  <dcterms:modified xsi:type="dcterms:W3CDTF">2023-07-12T15:14:31Z</dcterms:modified>
</cp:coreProperties>
</file>